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3640" windowHeight="14280" tabRatio="500"/>
  </bookViews>
  <sheets>
    <sheet name="Расчет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H10" i="1"/>
  <c r="H11" i="1"/>
  <c r="I11" i="1"/>
  <c r="H13" i="1"/>
  <c r="I13" i="1"/>
  <c r="H14" i="1"/>
  <c r="I14" i="1"/>
  <c r="H15" i="1"/>
  <c r="I15" i="1"/>
  <c r="H16" i="1"/>
  <c r="I16" i="1"/>
  <c r="I19" i="1"/>
  <c r="J11" i="1"/>
  <c r="J12" i="1"/>
  <c r="J13" i="1"/>
  <c r="J17" i="1"/>
  <c r="H18" i="1"/>
  <c r="J18" i="1"/>
  <c r="J19" i="1"/>
  <c r="B20" i="1"/>
  <c r="H17" i="1"/>
  <c r="K17" i="1"/>
  <c r="K13" i="1"/>
  <c r="H12" i="1"/>
  <c r="K12" i="1"/>
  <c r="K11" i="1"/>
  <c r="I21" i="1"/>
  <c r="H22" i="1"/>
  <c r="H19" i="1"/>
  <c r="H21" i="1"/>
  <c r="H20" i="1"/>
  <c r="B22" i="1"/>
  <c r="B23" i="1"/>
  <c r="E4" i="1"/>
  <c r="H5" i="1"/>
  <c r="G7" i="1"/>
  <c r="E2" i="1"/>
  <c r="E3" i="1"/>
  <c r="E5" i="1"/>
</calcChain>
</file>

<file path=xl/sharedStrings.xml><?xml version="1.0" encoding="utf-8"?>
<sst xmlns="http://schemas.openxmlformats.org/spreadsheetml/2006/main" count="45" uniqueCount="44">
  <si>
    <t>Переменные расходы</t>
  </si>
  <si>
    <t>Постоянные расходы</t>
  </si>
  <si>
    <t>УСН</t>
  </si>
  <si>
    <t>НДФЛ на постоянную ЗП</t>
  </si>
  <si>
    <t>ЕСН на постоянную ЗП</t>
  </si>
  <si>
    <t>Выручка</t>
  </si>
  <si>
    <t>Переменные</t>
  </si>
  <si>
    <t>Постоянные</t>
  </si>
  <si>
    <t>ИТОГО</t>
  </si>
  <si>
    <t>Производительность тн./ в час</t>
  </si>
  <si>
    <t>Кол-во рабочих дней</t>
  </si>
  <si>
    <t>ЗП рабочим</t>
  </si>
  <si>
    <t>Режим  работы час./сутки</t>
  </si>
  <si>
    <t>объем продаж в месяц, фур</t>
  </si>
  <si>
    <t>тонн в фуре</t>
  </si>
  <si>
    <t>итого выпуск</t>
  </si>
  <si>
    <t>Возможный объем выпуска</t>
  </si>
  <si>
    <t>Выпуск в месяц, тонн</t>
  </si>
  <si>
    <t>Расход сырья на 1 тонну, кубм</t>
  </si>
  <si>
    <t>Стоимость доставки, за кубм</t>
  </si>
  <si>
    <t>Стоимость 1 кубм</t>
  </si>
  <si>
    <t>цена 1 тонны</t>
  </si>
  <si>
    <t>курс евро</t>
  </si>
  <si>
    <t>Аренда</t>
  </si>
  <si>
    <t>Бух бюро</t>
  </si>
  <si>
    <t>ЗП директора</t>
  </si>
  <si>
    <t>Электроэнергия</t>
  </si>
  <si>
    <t>Прочие расходы</t>
  </si>
  <si>
    <t>Продажи</t>
  </si>
  <si>
    <t>выгрузка машины</t>
  </si>
  <si>
    <t>на объем</t>
  </si>
  <si>
    <t>дробление</t>
  </si>
  <si>
    <t>дробление - 2</t>
  </si>
  <si>
    <t>сушка</t>
  </si>
  <si>
    <t>гранулирование</t>
  </si>
  <si>
    <t>вибросито</t>
  </si>
  <si>
    <t>пакетирование</t>
  </si>
  <si>
    <t>отгрузка</t>
  </si>
  <si>
    <t>1 рабочий работает</t>
  </si>
  <si>
    <t>нужно рабочих</t>
  </si>
  <si>
    <t>расходы</t>
  </si>
  <si>
    <t>оклад</t>
  </si>
  <si>
    <t>сделка</t>
  </si>
  <si>
    <t>зп в 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</si>
</sst>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_-* #,##0.0\ _₽_-;\-* #,##0.0\ _₽_-;_-* &quot;-&quot;??\ _₽_-;_-@_-"/>
    <numFmt numFmtId="166" formatCode="_-* #,##0\ _₽_-;\-* #,##0\ _₽_-;_-* &quot;-&quot;??\ _₽_-;_-@_-"/>
  </numFmts>
  <fonts count="10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5" fillId="2" borderId="2" xfId="2" applyFont="1" applyFill="1" applyBorder="1"/>
    <xf numFmtId="166" fontId="6" fillId="3" borderId="3" xfId="1" applyNumberFormat="1" applyFont="1" applyFill="1" applyBorder="1"/>
    <xf numFmtId="0" fontId="0" fillId="0" borderId="4" xfId="0" applyBorder="1"/>
    <xf numFmtId="166" fontId="6" fillId="3" borderId="5" xfId="1" applyNumberFormat="1" applyFont="1" applyFill="1" applyBorder="1"/>
    <xf numFmtId="0" fontId="0" fillId="0" borderId="6" xfId="0" applyBorder="1"/>
    <xf numFmtId="166" fontId="6" fillId="3" borderId="7" xfId="1" applyNumberFormat="1" applyFont="1" applyFill="1" applyBorder="1"/>
    <xf numFmtId="0" fontId="7" fillId="4" borderId="8" xfId="4" applyBorder="1"/>
    <xf numFmtId="166" fontId="7" fillId="4" borderId="9" xfId="4" applyNumberFormat="1" applyBorder="1"/>
    <xf numFmtId="165" fontId="5" fillId="2" borderId="2" xfId="1" applyNumberFormat="1" applyFont="1" applyFill="1" applyBorder="1"/>
    <xf numFmtId="166" fontId="5" fillId="2" borderId="2" xfId="1" applyNumberFormat="1" applyFont="1" applyFill="1" applyBorder="1"/>
    <xf numFmtId="0" fontId="4" fillId="0" borderId="1" xfId="3"/>
    <xf numFmtId="166" fontId="0" fillId="0" borderId="0" xfId="0" applyNumberFormat="1"/>
    <xf numFmtId="0" fontId="2" fillId="0" borderId="0" xfId="0" applyFont="1"/>
    <xf numFmtId="166" fontId="2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0" applyNumberFormat="1" applyFont="1"/>
  </cellXfs>
  <cellStyles count="11">
    <cellStyle name="Акцент4" xfId="4" builtinId="41"/>
    <cellStyle name="Гиперссылка" xfId="5" builtinId="8" hidden="1"/>
    <cellStyle name="Гиперссылка" xfId="7" builtinId="8" hidden="1"/>
    <cellStyle name="Гиперссылка" xfId="9" builtinId="8" hidden="1"/>
    <cellStyle name="Заголовок 1" xfId="3" builtinId="16"/>
    <cellStyle name="Обычный" xfId="0" builtinId="0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центный" xfId="2" builtinId="5"/>
    <cellStyle name="Финансовый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I24" sqref="I24"/>
    </sheetView>
  </sheetViews>
  <sheetFormatPr baseColWidth="10" defaultColWidth="11" defaultRowHeight="15" x14ac:dyDescent="0"/>
  <cols>
    <col min="1" max="1" width="28.33203125" customWidth="1"/>
    <col min="2" max="2" width="12.1640625" bestFit="1" customWidth="1"/>
    <col min="4" max="4" width="15.5" customWidth="1"/>
    <col min="5" max="5" width="13.1640625" bestFit="1" customWidth="1"/>
    <col min="6" max="6" width="12.33203125" bestFit="1" customWidth="1"/>
    <col min="7" max="7" width="27.83203125" customWidth="1"/>
  </cols>
  <sheetData>
    <row r="1" spans="1:11" s="6" customFormat="1" ht="20.25" thickBot="1">
      <c r="A1" s="18" t="s">
        <v>28</v>
      </c>
      <c r="G1" s="18" t="s">
        <v>16</v>
      </c>
    </row>
    <row r="2" spans="1:11" s="6" customFormat="1" ht="16.5" thickTop="1">
      <c r="A2" s="6" t="s">
        <v>13</v>
      </c>
      <c r="B2" s="17">
        <v>3</v>
      </c>
      <c r="D2" s="10" t="s">
        <v>5</v>
      </c>
      <c r="E2" s="11">
        <f>B4*B5*B6</f>
        <v>359100</v>
      </c>
      <c r="G2" s="6" t="s">
        <v>12</v>
      </c>
      <c r="H2" s="17">
        <v>8</v>
      </c>
    </row>
    <row r="3" spans="1:11" s="6" customFormat="1">
      <c r="A3" s="6" t="s">
        <v>14</v>
      </c>
      <c r="B3" s="17">
        <v>18</v>
      </c>
      <c r="D3" s="12" t="s">
        <v>6</v>
      </c>
      <c r="E3" s="13">
        <f>(E2*B13)+(B4*B10*(B11+B12))</f>
        <v>202986</v>
      </c>
      <c r="G3" s="6" t="s">
        <v>9</v>
      </c>
      <c r="H3" s="16">
        <v>0.3</v>
      </c>
    </row>
    <row r="4" spans="1:11" s="6" customFormat="1">
      <c r="A4" s="7" t="s">
        <v>15</v>
      </c>
      <c r="B4" s="9">
        <f>B2*B3</f>
        <v>54</v>
      </c>
      <c r="D4" s="12" t="s">
        <v>7</v>
      </c>
      <c r="E4" s="13">
        <f>SUM(B16:B23)</f>
        <v>376564.47202535102</v>
      </c>
      <c r="G4" s="6" t="s">
        <v>10</v>
      </c>
      <c r="H4" s="17">
        <v>24</v>
      </c>
    </row>
    <row r="5" spans="1:11" s="6" customFormat="1" ht="16.5" thickBot="1">
      <c r="A5" s="7" t="s">
        <v>21</v>
      </c>
      <c r="B5" s="17">
        <v>95</v>
      </c>
      <c r="D5" s="14" t="s">
        <v>8</v>
      </c>
      <c r="E5" s="15">
        <f>E2-E3-E4</f>
        <v>-220450.47202535102</v>
      </c>
      <c r="G5" t="s">
        <v>17</v>
      </c>
      <c r="H5" s="9">
        <f>H2*H3*H4</f>
        <v>57.599999999999994</v>
      </c>
    </row>
    <row r="6" spans="1:11" s="6" customFormat="1">
      <c r="A6" s="7" t="s">
        <v>22</v>
      </c>
      <c r="B6" s="17">
        <v>70</v>
      </c>
      <c r="G6"/>
      <c r="H6"/>
    </row>
    <row r="7" spans="1:11">
      <c r="G7" s="22" t="str">
        <f>IF(B4&gt;H5,"ПРОБЛЕМА","МОЖЕМ СДЕЛАТЬ")</f>
        <v>МОЖЕМ СДЕЛАТЬ</v>
      </c>
      <c r="H7" s="22"/>
    </row>
    <row r="9" spans="1:11" ht="20.25" thickBot="1">
      <c r="A9" s="18" t="s">
        <v>0</v>
      </c>
      <c r="B9" s="1"/>
      <c r="I9" t="s">
        <v>40</v>
      </c>
    </row>
    <row r="10" spans="1:11" ht="16.5" thickTop="1">
      <c r="A10" t="s">
        <v>18</v>
      </c>
      <c r="B10" s="17">
        <v>7</v>
      </c>
      <c r="G10" t="s">
        <v>30</v>
      </c>
      <c r="H10" s="19">
        <f>B4</f>
        <v>54</v>
      </c>
      <c r="I10" t="s">
        <v>41</v>
      </c>
      <c r="J10" t="s">
        <v>42</v>
      </c>
    </row>
    <row r="11" spans="1:11">
      <c r="A11" t="s">
        <v>19</v>
      </c>
      <c r="B11" s="17">
        <v>130</v>
      </c>
      <c r="G11" t="s">
        <v>29</v>
      </c>
      <c r="H11" s="19">
        <f>H10*B10/23*4</f>
        <v>65.739130434782609</v>
      </c>
      <c r="I11" s="19">
        <f>H11/2*H22</f>
        <v>3081.521739130435</v>
      </c>
      <c r="J11" s="19">
        <f>H10*B10/23*500</f>
        <v>8217.391304347826</v>
      </c>
      <c r="K11">
        <f>J11/H11/2</f>
        <v>62.5</v>
      </c>
    </row>
    <row r="12" spans="1:11">
      <c r="A12" t="s">
        <v>20</v>
      </c>
      <c r="B12" s="17">
        <v>350</v>
      </c>
      <c r="G12" t="s">
        <v>31</v>
      </c>
      <c r="H12" s="19">
        <f>H10*7/23*12</f>
        <v>197.21739130434781</v>
      </c>
      <c r="I12" s="19"/>
      <c r="J12" s="19">
        <f>H10*B10/23*1200</f>
        <v>19721.739130434784</v>
      </c>
      <c r="K12">
        <f>J12/H12</f>
        <v>100.00000000000001</v>
      </c>
    </row>
    <row r="13" spans="1:11">
      <c r="A13" t="s">
        <v>2</v>
      </c>
      <c r="B13" s="8">
        <v>0.06</v>
      </c>
      <c r="G13" t="s">
        <v>32</v>
      </c>
      <c r="H13" s="19">
        <f>H10*B10/1.2</f>
        <v>315</v>
      </c>
      <c r="I13" s="19">
        <f>H13*H22/2</f>
        <v>14765.625</v>
      </c>
      <c r="J13" s="19">
        <f>H10*B10/2/9*600</f>
        <v>12600</v>
      </c>
      <c r="K13">
        <f>J13/H13/2</f>
        <v>20</v>
      </c>
    </row>
    <row r="14" spans="1:11">
      <c r="G14" t="s">
        <v>33</v>
      </c>
      <c r="H14" s="19">
        <f>H10*B10/2*1.3</f>
        <v>245.70000000000002</v>
      </c>
      <c r="I14" s="19">
        <f>H14*H22</f>
        <v>23034.375</v>
      </c>
      <c r="J14" s="19"/>
    </row>
    <row r="15" spans="1:11" ht="20.25" thickBot="1">
      <c r="A15" s="18" t="s">
        <v>1</v>
      </c>
      <c r="G15" t="s">
        <v>34</v>
      </c>
      <c r="H15" s="19">
        <f>H10/0.275</f>
        <v>196.36363636363635</v>
      </c>
      <c r="I15" s="19">
        <f>H15*H22</f>
        <v>18409.090909090908</v>
      </c>
      <c r="J15" s="19"/>
    </row>
    <row r="16" spans="1:11" ht="16.5" thickTop="1">
      <c r="A16" t="s">
        <v>23</v>
      </c>
      <c r="B16" s="17">
        <v>25000</v>
      </c>
      <c r="C16" s="3"/>
      <c r="G16" s="6" t="s">
        <v>35</v>
      </c>
      <c r="H16" s="19">
        <f>H10*3.3</f>
        <v>178.2</v>
      </c>
      <c r="I16" s="19">
        <f>H16*H22</f>
        <v>16706.25</v>
      </c>
      <c r="J16" s="19"/>
    </row>
    <row r="17" spans="1:11" s="6" customFormat="1">
      <c r="A17" s="6" t="s">
        <v>26</v>
      </c>
      <c r="B17" s="17">
        <v>5000</v>
      </c>
      <c r="C17" s="3"/>
      <c r="G17" s="6" t="s">
        <v>36</v>
      </c>
      <c r="H17" s="19">
        <f>H10*1000/15*4/60</f>
        <v>240</v>
      </c>
      <c r="I17" s="19"/>
      <c r="J17" s="19">
        <f>H10/0.015*10</f>
        <v>36000</v>
      </c>
      <c r="K17" s="6">
        <f>J17/H17</f>
        <v>150</v>
      </c>
    </row>
    <row r="18" spans="1:11" s="6" customFormat="1">
      <c r="A18" s="7" t="s">
        <v>27</v>
      </c>
      <c r="B18" s="17">
        <v>20000</v>
      </c>
      <c r="C18" s="3"/>
      <c r="G18" s="6" t="s">
        <v>37</v>
      </c>
      <c r="H18" s="19">
        <f>H10/20*3</f>
        <v>8.1000000000000014</v>
      </c>
      <c r="I18" s="19"/>
      <c r="J18" s="19">
        <f>H18*500</f>
        <v>4050.0000000000009</v>
      </c>
    </row>
    <row r="19" spans="1:11">
      <c r="A19" t="s">
        <v>24</v>
      </c>
      <c r="B19" s="17">
        <v>6000</v>
      </c>
      <c r="G19" s="20" t="s">
        <v>8</v>
      </c>
      <c r="H19" s="21">
        <f>SUM(H11:H18)</f>
        <v>1446.3201581027668</v>
      </c>
      <c r="I19" s="21">
        <f t="shared" ref="I19:J19" si="0">SUM(I11:I18)</f>
        <v>75996.862648221344</v>
      </c>
      <c r="J19" s="21">
        <f t="shared" si="0"/>
        <v>80589.130434782608</v>
      </c>
    </row>
    <row r="20" spans="1:11">
      <c r="A20" t="s">
        <v>11</v>
      </c>
      <c r="B20" s="17">
        <f>I19+J19</f>
        <v>156585.99308300397</v>
      </c>
      <c r="C20" s="4"/>
      <c r="G20" s="6" t="s">
        <v>38</v>
      </c>
      <c r="H20" s="6">
        <f>8*24</f>
        <v>192</v>
      </c>
      <c r="J20" s="19"/>
    </row>
    <row r="21" spans="1:11" s="6" customFormat="1">
      <c r="A21" s="6" t="s">
        <v>25</v>
      </c>
      <c r="B21" s="17">
        <v>50000</v>
      </c>
      <c r="G21" s="20" t="s">
        <v>39</v>
      </c>
      <c r="H21" s="23">
        <f>H19/H20</f>
        <v>7.5329174901185771</v>
      </c>
      <c r="I21" s="23">
        <f>I19/18000</f>
        <v>4.2220479249011857</v>
      </c>
      <c r="J21" s="19"/>
    </row>
    <row r="22" spans="1:11">
      <c r="A22" t="s">
        <v>3</v>
      </c>
      <c r="B22" s="9">
        <f>SUM((B20:B21))/0.87*0.13</f>
        <v>30869.171380218984</v>
      </c>
      <c r="G22" t="s">
        <v>43</v>
      </c>
      <c r="H22">
        <f>18000/H20</f>
        <v>93.75</v>
      </c>
    </row>
    <row r="23" spans="1:11">
      <c r="A23" t="s">
        <v>4</v>
      </c>
      <c r="B23" s="9">
        <f>SUM(B20:B22)*0.35</f>
        <v>83109.30756212803</v>
      </c>
    </row>
    <row r="25" spans="1:11">
      <c r="B25" s="2"/>
    </row>
    <row r="28" spans="1:11">
      <c r="B28" s="2"/>
      <c r="C28" s="5"/>
      <c r="D28" s="5"/>
    </row>
  </sheetData>
  <mergeCells count="1">
    <mergeCell ref="G7:H7"/>
  </mergeCells>
  <pageMargins left="0.75" right="0.75" top="1" bottom="1" header="0.5" footer="0.5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Кузнецов</dc:creator>
  <cp:lastModifiedBy>Александр Кузнецов</cp:lastModifiedBy>
  <dcterms:created xsi:type="dcterms:W3CDTF">2014-07-25T14:23:34Z</dcterms:created>
  <dcterms:modified xsi:type="dcterms:W3CDTF">2015-11-09T15:22:19Z</dcterms:modified>
</cp:coreProperties>
</file>